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概算总表" sheetId="1" r:id="rId1"/>
  </sheets>
  <definedNames>
    <definedName name="_xlnm.Print_Area" localSheetId="0">'概算总表'!$A$1:$L$56</definedName>
    <definedName name="_xlnm.Print_Titles" localSheetId="0">'概算总表'!$4:$5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<sst xmlns="http://schemas.openxmlformats.org/spreadsheetml/2006/main" count="118" uniqueCount="90">
  <si>
    <t>巴发改审〔2021〕2号 附件</t>
  </si>
  <si>
    <t>巴中市养老服务中心建设项目投资概算表</t>
  </si>
  <si>
    <t>工程项目名称：巴中市养老服务中心建设项目</t>
  </si>
  <si>
    <t>序号</t>
  </si>
  <si>
    <t>工程或费用名称</t>
  </si>
  <si>
    <t>概  算  价  值 （万元）</t>
  </si>
  <si>
    <t>技 术 经 济 指 标 （元）</t>
  </si>
  <si>
    <t>备注</t>
  </si>
  <si>
    <t>建 筑          工程费</t>
  </si>
  <si>
    <t>设 备          购置费</t>
  </si>
  <si>
    <t>安 装           工程费</t>
  </si>
  <si>
    <t>其 他           费 用</t>
  </si>
  <si>
    <t>合   计</t>
  </si>
  <si>
    <t>名 称</t>
  </si>
  <si>
    <t>单位</t>
  </si>
  <si>
    <t>数量</t>
  </si>
  <si>
    <t>指标（元/m2）</t>
  </si>
  <si>
    <t>一</t>
  </si>
  <si>
    <t>工程费用</t>
  </si>
  <si>
    <t>（一）</t>
  </si>
  <si>
    <t>房屋建筑工程</t>
  </si>
  <si>
    <r>
      <t>m</t>
    </r>
    <r>
      <rPr>
        <b/>
        <vertAlign val="superscript"/>
        <sz val="10"/>
        <rFont val="宋体"/>
        <family val="0"/>
      </rPr>
      <t>2</t>
    </r>
  </si>
  <si>
    <t>老年公寓</t>
  </si>
  <si>
    <t>土建装饰工程</t>
  </si>
  <si>
    <r>
      <t>m</t>
    </r>
    <r>
      <rPr>
        <vertAlign val="superscript"/>
        <sz val="10"/>
        <rFont val="宋体"/>
        <family val="0"/>
      </rPr>
      <t>2</t>
    </r>
  </si>
  <si>
    <t>安装工程</t>
  </si>
  <si>
    <t>1.2.1</t>
  </si>
  <si>
    <t>电气及动力工程</t>
  </si>
  <si>
    <t>1.2.2</t>
  </si>
  <si>
    <t>火灾报警</t>
  </si>
  <si>
    <t>1.2.3</t>
  </si>
  <si>
    <t>弱电工程</t>
  </si>
  <si>
    <t>1.2.4</t>
  </si>
  <si>
    <t>给排水工程</t>
  </si>
  <si>
    <t>1.2.5</t>
  </si>
  <si>
    <t>消防水工程</t>
  </si>
  <si>
    <t>1.2.7</t>
  </si>
  <si>
    <t>暖通工程</t>
  </si>
  <si>
    <t>地下室</t>
  </si>
  <si>
    <t>土建工程</t>
  </si>
  <si>
    <t>2.2.1</t>
  </si>
  <si>
    <t>2.2.2</t>
  </si>
  <si>
    <t>2.2.3</t>
  </si>
  <si>
    <t>2.2.4</t>
  </si>
  <si>
    <t>2.2.5</t>
  </si>
  <si>
    <t>2.2.7</t>
  </si>
  <si>
    <t>地下室暖通工程</t>
  </si>
  <si>
    <t>（二）</t>
  </si>
  <si>
    <t>总图工程</t>
  </si>
  <si>
    <t>场平土石方工程</t>
  </si>
  <si>
    <t>m³</t>
  </si>
  <si>
    <t>室外硬化及铺装</t>
  </si>
  <si>
    <t>㎡</t>
  </si>
  <si>
    <t>边坡支护桩板墙</t>
  </si>
  <si>
    <t>m</t>
  </si>
  <si>
    <t>绿化工程</t>
  </si>
  <si>
    <t>围墙及大门</t>
  </si>
  <si>
    <t>室外电气工程</t>
  </si>
  <si>
    <t>不含高压系统</t>
  </si>
  <si>
    <t>室外火灾报警及弱电工程</t>
  </si>
  <si>
    <t>室外给排水及消防水工程</t>
  </si>
  <si>
    <t>不含化粪池</t>
  </si>
  <si>
    <t>(三)</t>
  </si>
  <si>
    <t>设备购置费</t>
  </si>
  <si>
    <t>电梯</t>
  </si>
  <si>
    <t>台</t>
  </si>
  <si>
    <t>健身器材</t>
  </si>
  <si>
    <t>套</t>
  </si>
  <si>
    <t>二</t>
  </si>
  <si>
    <t>工程建设其他费用</t>
  </si>
  <si>
    <r>
      <t>项目建设管理费</t>
    </r>
    <r>
      <rPr>
        <sz val="10"/>
        <rFont val="Times New Roman"/>
        <family val="1"/>
      </rPr>
      <t> </t>
    </r>
  </si>
  <si>
    <t>建设工程监理费</t>
  </si>
  <si>
    <t>勘察设计费</t>
  </si>
  <si>
    <t>勘察费</t>
  </si>
  <si>
    <t>设计费</t>
  </si>
  <si>
    <t>施工图审查费</t>
  </si>
  <si>
    <t>工程招标费</t>
  </si>
  <si>
    <t>建设项目前期工作咨询费</t>
  </si>
  <si>
    <t>环境影响咨询服务费</t>
  </si>
  <si>
    <t>场地准备费及临时设施费</t>
  </si>
  <si>
    <r>
      <t>工程保险费</t>
    </r>
    <r>
      <rPr>
        <sz val="10"/>
        <rFont val="Times New Roman"/>
        <family val="1"/>
      </rPr>
      <t> </t>
    </r>
  </si>
  <si>
    <t>工程量清单及控制价编制费</t>
  </si>
  <si>
    <t>控制价审核</t>
  </si>
  <si>
    <t>竣工结算审核费</t>
  </si>
  <si>
    <t>人防异地建设费</t>
  </si>
  <si>
    <t>城市基础设施配套费</t>
  </si>
  <si>
    <t>三</t>
  </si>
  <si>
    <t>基本预备费 [（一）+（二）]X5%</t>
  </si>
  <si>
    <t>四</t>
  </si>
  <si>
    <t>建设投资合计（一+二+三）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</si>
</sst>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0_ "/>
    <numFmt numFmtId="179" formatCode="0_);[Red]\(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u val="single"/>
      <sz val="13.8"/>
      <color indexed="36"/>
      <name val="宋体"/>
      <family val="0"/>
    </font>
    <font>
      <u val="single"/>
      <sz val="13.8"/>
      <color indexed="12"/>
      <name val="宋体"/>
      <family val="0"/>
    </font>
    <font>
      <sz val="9"/>
      <color indexed="8"/>
      <name val="宋体"/>
      <family val="0"/>
    </font>
    <font>
      <b/>
      <vertAlign val="superscript"/>
      <sz val="10"/>
      <name val="宋体"/>
      <family val="0"/>
    </font>
    <font>
      <vertAlign val="superscript"/>
      <sz val="10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51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left" vertical="center" wrapText="1"/>
    </xf>
    <xf numFmtId="177" fontId="52" fillId="0" borderId="9" xfId="0" applyNumberFormat="1" applyFont="1" applyFill="1" applyBorder="1" applyAlignment="1">
      <alignment horizontal="right" vertical="center" wrapText="1"/>
    </xf>
    <xf numFmtId="176" fontId="52" fillId="0" borderId="9" xfId="0" applyNumberFormat="1" applyFont="1" applyFill="1" applyBorder="1" applyAlignment="1">
      <alignment horizontal="righ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177" fontId="51" fillId="0" borderId="9" xfId="0" applyNumberFormat="1" applyFont="1" applyFill="1" applyBorder="1" applyAlignment="1">
      <alignment horizontal="right" vertical="center" wrapText="1"/>
    </xf>
    <xf numFmtId="176" fontId="51" fillId="0" borderId="9" xfId="0" applyNumberFormat="1" applyFont="1" applyFill="1" applyBorder="1" applyAlignment="1">
      <alignment horizontal="right" vertical="center" wrapText="1"/>
    </xf>
    <xf numFmtId="177" fontId="51" fillId="0" borderId="9" xfId="40" applyNumberFormat="1" applyFont="1" applyFill="1" applyBorder="1" applyAlignment="1">
      <alignment horizontal="right" vertical="center"/>
      <protection/>
    </xf>
    <xf numFmtId="0" fontId="51" fillId="0" borderId="9" xfId="0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right" vertical="center" wrapText="1"/>
    </xf>
    <xf numFmtId="176" fontId="53" fillId="0" borderId="9" xfId="0" applyNumberFormat="1" applyFont="1" applyFill="1" applyBorder="1" applyAlignment="1">
      <alignment horizontal="righ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7" fontId="51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51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vertical="center" wrapText="1"/>
    </xf>
    <xf numFmtId="10" fontId="52" fillId="0" borderId="9" xfId="0" applyNumberFormat="1" applyFont="1" applyFill="1" applyBorder="1" applyAlignment="1">
      <alignment horizontal="right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0" fontId="51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right" vertical="center" wrapText="1"/>
    </xf>
    <xf numFmtId="0" fontId="55" fillId="0" borderId="9" xfId="0" applyFont="1" applyFill="1" applyBorder="1" applyAlignment="1">
      <alignment horizontal="center" vertical="center" wrapText="1"/>
    </xf>
    <xf numFmtId="10" fontId="51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176" fontId="56" fillId="0" borderId="0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right" vertical="center" wrapText="1"/>
    </xf>
    <xf numFmtId="177" fontId="56" fillId="0" borderId="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10" fontId="5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83"/>
  <sheetViews>
    <sheetView tabSelected="1" zoomScale="115" zoomScaleNormal="115" zoomScaleSheetLayoutView="100" zoomScalePageLayoutView="0" workbookViewId="0" topLeftCell="A34">
      <selection activeCell="O53" sqref="O53"/>
    </sheetView>
  </sheetViews>
  <sheetFormatPr defaultColWidth="8.625" defaultRowHeight="14.25"/>
  <cols>
    <col min="1" max="1" width="6.125" style="5" customWidth="1"/>
    <col min="2" max="2" width="21.875" style="6" customWidth="1"/>
    <col min="3" max="3" width="9.625" style="7" customWidth="1"/>
    <col min="4" max="4" width="7.50390625" style="8" customWidth="1"/>
    <col min="5" max="5" width="8.375" style="9" customWidth="1"/>
    <col min="6" max="6" width="8.75390625" style="8" customWidth="1"/>
    <col min="7" max="7" width="9.125" style="8" customWidth="1"/>
    <col min="8" max="8" width="6.625" style="8" customWidth="1"/>
    <col min="9" max="9" width="3.875" style="10" customWidth="1"/>
    <col min="10" max="10" width="9.25390625" style="7" customWidth="1"/>
    <col min="11" max="11" width="10.125" style="8" customWidth="1"/>
    <col min="12" max="12" width="12.50390625" style="11" customWidth="1"/>
    <col min="13" max="13" width="9.375" style="6" bestFit="1" customWidth="1"/>
    <col min="14" max="32" width="9.00390625" style="6" bestFit="1" customWidth="1"/>
    <col min="33" max="16384" width="8.625" style="6" customWidth="1"/>
  </cols>
  <sheetData>
    <row r="1" spans="1:12" ht="24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36" s="1" customFormat="1" ht="30" customHeight="1">
      <c r="A2" s="45" t="s">
        <v>1</v>
      </c>
      <c r="B2" s="45"/>
      <c r="C2" s="45"/>
      <c r="D2" s="45"/>
      <c r="E2" s="45"/>
      <c r="F2" s="46"/>
      <c r="G2" s="46"/>
      <c r="H2" s="45"/>
      <c r="I2" s="45"/>
      <c r="J2" s="47"/>
      <c r="K2" s="45"/>
      <c r="L2" s="4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</row>
    <row r="3" spans="1:236" s="1" customFormat="1" ht="24.7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</row>
    <row r="4" spans="1:236" s="2" customFormat="1" ht="15" customHeight="1">
      <c r="A4" s="53" t="s">
        <v>3</v>
      </c>
      <c r="B4" s="49" t="s">
        <v>4</v>
      </c>
      <c r="C4" s="49" t="s">
        <v>5</v>
      </c>
      <c r="D4" s="49"/>
      <c r="E4" s="49"/>
      <c r="F4" s="49"/>
      <c r="G4" s="49"/>
      <c r="H4" s="49" t="s">
        <v>6</v>
      </c>
      <c r="I4" s="49"/>
      <c r="J4" s="50"/>
      <c r="K4" s="49"/>
      <c r="L4" s="54" t="s">
        <v>7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</row>
    <row r="5" spans="1:236" s="2" customFormat="1" ht="25.5" customHeight="1">
      <c r="A5" s="53"/>
      <c r="B5" s="49"/>
      <c r="C5" s="14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4" t="s">
        <v>15</v>
      </c>
      <c r="K5" s="13" t="s">
        <v>16</v>
      </c>
      <c r="L5" s="54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</row>
    <row r="6" spans="1:236" s="2" customFormat="1" ht="19.5" customHeight="1">
      <c r="A6" s="12" t="s">
        <v>17</v>
      </c>
      <c r="B6" s="15" t="s">
        <v>18</v>
      </c>
      <c r="C6" s="16">
        <f>C7+C26</f>
        <v>3888.37</v>
      </c>
      <c r="D6" s="16">
        <f>D7+D26+D35</f>
        <v>45</v>
      </c>
      <c r="E6" s="16">
        <f>E7+E26+E35</f>
        <v>0</v>
      </c>
      <c r="F6" s="16">
        <f>F7+F26+F35</f>
        <v>0</v>
      </c>
      <c r="G6" s="16">
        <f>SUM(C6:F6)</f>
        <v>3933.37</v>
      </c>
      <c r="H6" s="17"/>
      <c r="I6" s="13"/>
      <c r="J6" s="16"/>
      <c r="K6" s="17"/>
      <c r="L6" s="36">
        <f>G6/G56</f>
        <v>0.8812449096817138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</row>
    <row r="7" spans="1:236" s="2" customFormat="1" ht="19.5" customHeight="1">
      <c r="A7" s="12" t="s">
        <v>19</v>
      </c>
      <c r="B7" s="15" t="s">
        <v>20</v>
      </c>
      <c r="C7" s="16">
        <f>C8+C17</f>
        <v>2888.99</v>
      </c>
      <c r="D7" s="16">
        <f>D8+D17</f>
        <v>0</v>
      </c>
      <c r="E7" s="16">
        <f>E8+E17</f>
        <v>0</v>
      </c>
      <c r="F7" s="16">
        <f>F8+F17</f>
        <v>0</v>
      </c>
      <c r="G7" s="16">
        <f>G8+G17</f>
        <v>2888.99</v>
      </c>
      <c r="H7" s="17"/>
      <c r="I7" s="13" t="s">
        <v>21</v>
      </c>
      <c r="J7" s="16">
        <f>J8+J17</f>
        <v>8527.18</v>
      </c>
      <c r="K7" s="17">
        <f>G7/J7*10000</f>
        <v>3387.9782061595974</v>
      </c>
      <c r="L7" s="3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</row>
    <row r="8" spans="1:236" s="2" customFormat="1" ht="19.5" customHeight="1">
      <c r="A8" s="12">
        <v>1</v>
      </c>
      <c r="B8" s="18" t="s">
        <v>22</v>
      </c>
      <c r="C8" s="16">
        <f>SUM(C9:C10)</f>
        <v>2631.71</v>
      </c>
      <c r="D8" s="16"/>
      <c r="E8" s="16">
        <f>E9+E10</f>
        <v>0</v>
      </c>
      <c r="F8" s="16">
        <f>F9+F10</f>
        <v>0</v>
      </c>
      <c r="G8" s="17">
        <f aca="true" t="shared" si="0" ref="G8:G26">C8+D8+E8+F8</f>
        <v>2631.71</v>
      </c>
      <c r="H8" s="17"/>
      <c r="I8" s="13" t="s">
        <v>21</v>
      </c>
      <c r="J8" s="16">
        <v>8174.58</v>
      </c>
      <c r="K8" s="17">
        <f>G8/J8*10000</f>
        <v>3219.3825248514295</v>
      </c>
      <c r="L8" s="36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</row>
    <row r="9" spans="1:236" s="1" customFormat="1" ht="19.5" customHeight="1">
      <c r="A9" s="19">
        <v>1.1</v>
      </c>
      <c r="B9" s="20" t="s">
        <v>23</v>
      </c>
      <c r="C9" s="21">
        <v>1813.05</v>
      </c>
      <c r="D9" s="22"/>
      <c r="E9" s="21"/>
      <c r="F9" s="22"/>
      <c r="G9" s="22">
        <f t="shared" si="0"/>
        <v>1813.05</v>
      </c>
      <c r="H9" s="22"/>
      <c r="I9" s="37" t="s">
        <v>24</v>
      </c>
      <c r="J9" s="21">
        <v>8174.58</v>
      </c>
      <c r="K9" s="22">
        <f aca="true" t="shared" si="1" ref="K9:K15">G9/J9*10000</f>
        <v>2217.912112915893</v>
      </c>
      <c r="L9" s="3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</row>
    <row r="10" spans="1:236" s="1" customFormat="1" ht="19.5" customHeight="1">
      <c r="A10" s="19">
        <v>1.2</v>
      </c>
      <c r="B10" s="20" t="s">
        <v>25</v>
      </c>
      <c r="C10" s="21">
        <f>SUM(C11:C16)</f>
        <v>818.66</v>
      </c>
      <c r="D10" s="21"/>
      <c r="E10" s="21"/>
      <c r="F10" s="21"/>
      <c r="G10" s="22">
        <f t="shared" si="0"/>
        <v>818.66</v>
      </c>
      <c r="H10" s="22"/>
      <c r="I10" s="37" t="s">
        <v>24</v>
      </c>
      <c r="J10" s="21">
        <v>8174.58</v>
      </c>
      <c r="K10" s="22">
        <f t="shared" si="1"/>
        <v>1001.4704119355366</v>
      </c>
      <c r="L10" s="3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</row>
    <row r="11" spans="1:236" s="1" customFormat="1" ht="19.5" customHeight="1">
      <c r="A11" s="19" t="s">
        <v>26</v>
      </c>
      <c r="B11" s="20" t="s">
        <v>27</v>
      </c>
      <c r="C11" s="21">
        <v>147.84</v>
      </c>
      <c r="D11" s="22"/>
      <c r="E11" s="23"/>
      <c r="F11" s="22"/>
      <c r="G11" s="22">
        <f t="shared" si="0"/>
        <v>147.84</v>
      </c>
      <c r="H11" s="22"/>
      <c r="I11" s="37" t="s">
        <v>24</v>
      </c>
      <c r="J11" s="21">
        <v>8174.58</v>
      </c>
      <c r="K11" s="22">
        <f t="shared" si="1"/>
        <v>180.85332824438686</v>
      </c>
      <c r="L11" s="3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</row>
    <row r="12" spans="1:236" s="1" customFormat="1" ht="19.5" customHeight="1">
      <c r="A12" s="19" t="s">
        <v>28</v>
      </c>
      <c r="B12" s="20" t="s">
        <v>29</v>
      </c>
      <c r="C12" s="21">
        <v>60.11</v>
      </c>
      <c r="D12" s="22"/>
      <c r="E12" s="23"/>
      <c r="F12" s="22"/>
      <c r="G12" s="22">
        <f t="shared" si="0"/>
        <v>60.11</v>
      </c>
      <c r="H12" s="22"/>
      <c r="I12" s="37" t="s">
        <v>24</v>
      </c>
      <c r="J12" s="21">
        <v>8174.58</v>
      </c>
      <c r="K12" s="22">
        <f t="shared" si="1"/>
        <v>73.53282982122629</v>
      </c>
      <c r="L12" s="3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</row>
    <row r="13" spans="1:236" s="1" customFormat="1" ht="19.5" customHeight="1">
      <c r="A13" s="19" t="s">
        <v>30</v>
      </c>
      <c r="B13" s="20" t="s">
        <v>31</v>
      </c>
      <c r="C13" s="21">
        <v>57.09</v>
      </c>
      <c r="D13" s="22"/>
      <c r="E13" s="23"/>
      <c r="F13" s="22"/>
      <c r="G13" s="22">
        <f t="shared" si="0"/>
        <v>57.09</v>
      </c>
      <c r="H13" s="22"/>
      <c r="I13" s="37" t="s">
        <v>24</v>
      </c>
      <c r="J13" s="21">
        <v>8174.58</v>
      </c>
      <c r="K13" s="22">
        <f t="shared" si="1"/>
        <v>69.83845041580119</v>
      </c>
      <c r="L13" s="3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  <row r="14" spans="1:236" s="1" customFormat="1" ht="19.5" customHeight="1">
      <c r="A14" s="19" t="s">
        <v>32</v>
      </c>
      <c r="B14" s="20" t="s">
        <v>33</v>
      </c>
      <c r="C14" s="21">
        <v>101.86</v>
      </c>
      <c r="D14" s="22"/>
      <c r="E14" s="23"/>
      <c r="F14" s="22"/>
      <c r="G14" s="22">
        <f t="shared" si="0"/>
        <v>101.86</v>
      </c>
      <c r="H14" s="22"/>
      <c r="I14" s="37" t="s">
        <v>24</v>
      </c>
      <c r="J14" s="21">
        <v>8174.58</v>
      </c>
      <c r="K14" s="22">
        <f t="shared" si="1"/>
        <v>124.60579014457011</v>
      </c>
      <c r="L14" s="3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</row>
    <row r="15" spans="1:236" s="1" customFormat="1" ht="19.5" customHeight="1">
      <c r="A15" s="19" t="s">
        <v>34</v>
      </c>
      <c r="B15" s="20" t="s">
        <v>35</v>
      </c>
      <c r="C15" s="21">
        <v>79.26</v>
      </c>
      <c r="D15" s="22"/>
      <c r="E15" s="23"/>
      <c r="F15" s="22"/>
      <c r="G15" s="22">
        <f t="shared" si="0"/>
        <v>79.26</v>
      </c>
      <c r="H15" s="22"/>
      <c r="I15" s="37" t="s">
        <v>24</v>
      </c>
      <c r="J15" s="21">
        <v>8174.58</v>
      </c>
      <c r="K15" s="22">
        <f t="shared" si="1"/>
        <v>96.95910982582592</v>
      </c>
      <c r="L15" s="3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</row>
    <row r="16" spans="1:236" s="3" customFormat="1" ht="24" customHeight="1">
      <c r="A16" s="19" t="s">
        <v>36</v>
      </c>
      <c r="B16" s="20" t="s">
        <v>37</v>
      </c>
      <c r="C16" s="21">
        <v>372.5</v>
      </c>
      <c r="D16" s="21"/>
      <c r="E16" s="21"/>
      <c r="F16" s="21"/>
      <c r="G16" s="22">
        <f t="shared" si="0"/>
        <v>372.5</v>
      </c>
      <c r="H16" s="22"/>
      <c r="I16" s="37" t="s">
        <v>24</v>
      </c>
      <c r="J16" s="21">
        <v>8174.58</v>
      </c>
      <c r="K16" s="22">
        <f aca="true" t="shared" si="2" ref="K16:K26">G16/J16*10000</f>
        <v>455.6809034837264</v>
      </c>
      <c r="L16" s="3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</row>
    <row r="17" spans="1:236" s="2" customFormat="1" ht="19.5" customHeight="1">
      <c r="A17" s="12">
        <v>2</v>
      </c>
      <c r="B17" s="18" t="s">
        <v>38</v>
      </c>
      <c r="C17" s="16">
        <f>C18+C19</f>
        <v>257.28</v>
      </c>
      <c r="D17" s="16">
        <v>0</v>
      </c>
      <c r="E17" s="16">
        <f>SUM(E18:E19)</f>
        <v>0</v>
      </c>
      <c r="F17" s="16">
        <f>SUM(F18:F19)</f>
        <v>0</v>
      </c>
      <c r="G17" s="17">
        <f t="shared" si="0"/>
        <v>257.28</v>
      </c>
      <c r="H17" s="17"/>
      <c r="I17" s="13" t="s">
        <v>21</v>
      </c>
      <c r="J17" s="16">
        <v>352.6</v>
      </c>
      <c r="K17" s="17">
        <f t="shared" si="2"/>
        <v>7296.653431650595</v>
      </c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</row>
    <row r="18" spans="1:236" s="2" customFormat="1" ht="19.5" customHeight="1">
      <c r="A18" s="19">
        <v>2.1</v>
      </c>
      <c r="B18" s="20" t="s">
        <v>39</v>
      </c>
      <c r="C18" s="21">
        <v>193.19</v>
      </c>
      <c r="D18" s="22"/>
      <c r="E18" s="21"/>
      <c r="F18" s="22"/>
      <c r="G18" s="22">
        <f t="shared" si="0"/>
        <v>193.19</v>
      </c>
      <c r="H18" s="22"/>
      <c r="I18" s="37" t="s">
        <v>24</v>
      </c>
      <c r="J18" s="21">
        <v>352.6</v>
      </c>
      <c r="K18" s="22">
        <f t="shared" si="2"/>
        <v>5479.013045944412</v>
      </c>
      <c r="L18" s="38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</row>
    <row r="19" spans="1:236" s="2" customFormat="1" ht="19.5" customHeight="1">
      <c r="A19" s="19">
        <v>2.2</v>
      </c>
      <c r="B19" s="20" t="s">
        <v>25</v>
      </c>
      <c r="C19" s="21">
        <f>SUM(C20:C25)</f>
        <v>64.09</v>
      </c>
      <c r="D19" s="21"/>
      <c r="E19" s="21"/>
      <c r="F19" s="21"/>
      <c r="G19" s="22">
        <f t="shared" si="0"/>
        <v>64.09</v>
      </c>
      <c r="H19" s="22"/>
      <c r="I19" s="37" t="s">
        <v>24</v>
      </c>
      <c r="J19" s="21">
        <v>352.6</v>
      </c>
      <c r="K19" s="22">
        <f t="shared" si="2"/>
        <v>1817.6403857061825</v>
      </c>
      <c r="L19" s="38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</row>
    <row r="20" spans="1:236" s="2" customFormat="1" ht="19.5" customHeight="1">
      <c r="A20" s="19" t="s">
        <v>40</v>
      </c>
      <c r="B20" s="20" t="s">
        <v>27</v>
      </c>
      <c r="C20" s="21">
        <v>26.34</v>
      </c>
      <c r="D20" s="22"/>
      <c r="E20" s="23"/>
      <c r="F20" s="22"/>
      <c r="G20" s="22">
        <f t="shared" si="0"/>
        <v>26.34</v>
      </c>
      <c r="H20" s="22"/>
      <c r="I20" s="37" t="s">
        <v>24</v>
      </c>
      <c r="J20" s="21">
        <v>352.6</v>
      </c>
      <c r="K20" s="22">
        <f t="shared" si="2"/>
        <v>747.0221213840044</v>
      </c>
      <c r="L20" s="38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</row>
    <row r="21" spans="1:236" s="2" customFormat="1" ht="19.5" customHeight="1">
      <c r="A21" s="19" t="s">
        <v>41</v>
      </c>
      <c r="B21" s="20" t="s">
        <v>29</v>
      </c>
      <c r="C21" s="21">
        <v>0.82</v>
      </c>
      <c r="D21" s="22"/>
      <c r="E21" s="23"/>
      <c r="F21" s="22"/>
      <c r="G21" s="22">
        <f t="shared" si="0"/>
        <v>0.82</v>
      </c>
      <c r="H21" s="22"/>
      <c r="I21" s="37" t="s">
        <v>24</v>
      </c>
      <c r="J21" s="21">
        <v>352.6</v>
      </c>
      <c r="K21" s="22">
        <f t="shared" si="2"/>
        <v>23.255813953488367</v>
      </c>
      <c r="L21" s="38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</row>
    <row r="22" spans="1:236" s="2" customFormat="1" ht="19.5" customHeight="1">
      <c r="A22" s="19" t="s">
        <v>42</v>
      </c>
      <c r="B22" s="20" t="s">
        <v>31</v>
      </c>
      <c r="C22" s="21">
        <v>1.05</v>
      </c>
      <c r="D22" s="22"/>
      <c r="E22" s="23"/>
      <c r="F22" s="22"/>
      <c r="G22" s="22">
        <f t="shared" si="0"/>
        <v>1.05</v>
      </c>
      <c r="H22" s="22"/>
      <c r="I22" s="37" t="s">
        <v>24</v>
      </c>
      <c r="J22" s="21">
        <v>352.6</v>
      </c>
      <c r="K22" s="22">
        <f t="shared" si="2"/>
        <v>29.778786159954624</v>
      </c>
      <c r="L22" s="38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</row>
    <row r="23" spans="1:236" s="2" customFormat="1" ht="19.5" customHeight="1">
      <c r="A23" s="19" t="s">
        <v>43</v>
      </c>
      <c r="B23" s="20" t="s">
        <v>33</v>
      </c>
      <c r="C23" s="21">
        <v>17.98</v>
      </c>
      <c r="D23" s="22"/>
      <c r="E23" s="23"/>
      <c r="F23" s="22"/>
      <c r="G23" s="22">
        <f t="shared" si="0"/>
        <v>17.98</v>
      </c>
      <c r="H23" s="22"/>
      <c r="I23" s="37" t="s">
        <v>24</v>
      </c>
      <c r="J23" s="21">
        <v>352.6</v>
      </c>
      <c r="K23" s="22">
        <f t="shared" si="2"/>
        <v>509.9262620533182</v>
      </c>
      <c r="L23" s="38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</row>
    <row r="24" spans="1:236" s="1" customFormat="1" ht="19.5" customHeight="1">
      <c r="A24" s="19" t="s">
        <v>44</v>
      </c>
      <c r="B24" s="20" t="s">
        <v>35</v>
      </c>
      <c r="C24" s="21">
        <v>13.6</v>
      </c>
      <c r="D24" s="22"/>
      <c r="E24" s="23"/>
      <c r="F24" s="22"/>
      <c r="G24" s="22">
        <f t="shared" si="0"/>
        <v>13.6</v>
      </c>
      <c r="H24" s="22"/>
      <c r="I24" s="37" t="s">
        <v>24</v>
      </c>
      <c r="J24" s="21">
        <v>352.6</v>
      </c>
      <c r="K24" s="22">
        <f t="shared" si="2"/>
        <v>385.7061826432218</v>
      </c>
      <c r="L24" s="3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</row>
    <row r="25" spans="1:236" s="1" customFormat="1" ht="19.5" customHeight="1">
      <c r="A25" s="19" t="s">
        <v>45</v>
      </c>
      <c r="B25" s="20" t="s">
        <v>46</v>
      </c>
      <c r="C25" s="21">
        <v>4.3</v>
      </c>
      <c r="D25" s="21"/>
      <c r="E25" s="21"/>
      <c r="F25" s="21"/>
      <c r="G25" s="22">
        <f t="shared" si="0"/>
        <v>4.3</v>
      </c>
      <c r="H25" s="22"/>
      <c r="I25" s="37" t="s">
        <v>24</v>
      </c>
      <c r="J25" s="21">
        <v>352.6</v>
      </c>
      <c r="K25" s="22">
        <f t="shared" si="2"/>
        <v>121.95121951219511</v>
      </c>
      <c r="L25" s="3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</row>
    <row r="26" spans="1:236" s="2" customFormat="1" ht="19.5" customHeight="1">
      <c r="A26" s="12" t="s">
        <v>47</v>
      </c>
      <c r="B26" s="18" t="s">
        <v>48</v>
      </c>
      <c r="C26" s="16">
        <f>SUM(C27:C34)</f>
        <v>999.3800000000001</v>
      </c>
      <c r="D26" s="16"/>
      <c r="E26" s="16">
        <f>SUM(E27:E34)</f>
        <v>0</v>
      </c>
      <c r="F26" s="16">
        <f>SUM(F27:F34)</f>
        <v>0</v>
      </c>
      <c r="G26" s="16">
        <f t="shared" si="0"/>
        <v>999.3800000000001</v>
      </c>
      <c r="H26" s="17"/>
      <c r="I26" s="13"/>
      <c r="J26" s="16">
        <v>2082</v>
      </c>
      <c r="K26" s="17">
        <f t="shared" si="2"/>
        <v>4800.096061479348</v>
      </c>
      <c r="L26" s="3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</row>
    <row r="27" spans="1:236" s="2" customFormat="1" ht="19.5" customHeight="1">
      <c r="A27" s="19">
        <v>1</v>
      </c>
      <c r="B27" s="20" t="s">
        <v>49</v>
      </c>
      <c r="C27" s="21">
        <v>124.61</v>
      </c>
      <c r="D27" s="21"/>
      <c r="E27" s="21"/>
      <c r="F27" s="21"/>
      <c r="G27" s="22">
        <f aca="true" t="shared" si="3" ref="G27:G34">SUM(C27:F27)</f>
        <v>124.61</v>
      </c>
      <c r="H27" s="22"/>
      <c r="I27" s="39" t="s">
        <v>50</v>
      </c>
      <c r="J27" s="40">
        <v>24863.41</v>
      </c>
      <c r="K27" s="22">
        <f aca="true" t="shared" si="4" ref="K27:K34">G27/J27*10000</f>
        <v>50.117823741795675</v>
      </c>
      <c r="L27" s="38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</row>
    <row r="28" spans="1:236" s="2" customFormat="1" ht="19.5" customHeight="1">
      <c r="A28" s="19">
        <v>2</v>
      </c>
      <c r="B28" s="20" t="s">
        <v>51</v>
      </c>
      <c r="C28" s="21">
        <v>58.31</v>
      </c>
      <c r="D28" s="22"/>
      <c r="E28" s="23"/>
      <c r="F28" s="22"/>
      <c r="G28" s="22">
        <f t="shared" si="3"/>
        <v>58.31</v>
      </c>
      <c r="H28" s="22"/>
      <c r="I28" s="41" t="s">
        <v>52</v>
      </c>
      <c r="J28" s="40">
        <v>2082</v>
      </c>
      <c r="K28" s="22">
        <f t="shared" si="4"/>
        <v>280.06724303554273</v>
      </c>
      <c r="L28" s="3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</row>
    <row r="29" spans="1:236" s="2" customFormat="1" ht="19.5" customHeight="1">
      <c r="A29" s="19">
        <v>3</v>
      </c>
      <c r="B29" s="20" t="s">
        <v>53</v>
      </c>
      <c r="C29" s="21">
        <v>464.52</v>
      </c>
      <c r="D29" s="22"/>
      <c r="E29" s="23"/>
      <c r="F29" s="22"/>
      <c r="G29" s="22">
        <f t="shared" si="3"/>
        <v>464.52</v>
      </c>
      <c r="H29" s="22"/>
      <c r="I29" s="41" t="s">
        <v>54</v>
      </c>
      <c r="J29" s="40">
        <v>145</v>
      </c>
      <c r="K29" s="22">
        <f t="shared" si="4"/>
        <v>32035.862068965514</v>
      </c>
      <c r="L29" s="3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</row>
    <row r="30" spans="1:236" s="2" customFormat="1" ht="19.5" customHeight="1">
      <c r="A30" s="19">
        <v>4</v>
      </c>
      <c r="B30" s="20" t="s">
        <v>55</v>
      </c>
      <c r="C30" s="21">
        <v>13.62</v>
      </c>
      <c r="D30" s="22"/>
      <c r="E30" s="23"/>
      <c r="F30" s="22"/>
      <c r="G30" s="22">
        <f t="shared" si="3"/>
        <v>13.62</v>
      </c>
      <c r="H30" s="22"/>
      <c r="I30" s="41" t="s">
        <v>52</v>
      </c>
      <c r="J30" s="40">
        <v>710</v>
      </c>
      <c r="K30" s="22">
        <f t="shared" si="4"/>
        <v>191.83098591549296</v>
      </c>
      <c r="L30" s="3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</row>
    <row r="31" spans="1:236" s="2" customFormat="1" ht="19.5" customHeight="1">
      <c r="A31" s="19">
        <v>5</v>
      </c>
      <c r="B31" s="20" t="s">
        <v>56</v>
      </c>
      <c r="C31" s="21">
        <v>22.44</v>
      </c>
      <c r="D31" s="21"/>
      <c r="E31" s="21"/>
      <c r="F31" s="21"/>
      <c r="G31" s="22">
        <f t="shared" si="3"/>
        <v>22.44</v>
      </c>
      <c r="H31" s="22"/>
      <c r="I31" s="37" t="s">
        <v>54</v>
      </c>
      <c r="J31" s="40">
        <v>185</v>
      </c>
      <c r="K31" s="22">
        <f t="shared" si="4"/>
        <v>1212.9729729729731</v>
      </c>
      <c r="L31" s="38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</row>
    <row r="32" spans="1:236" s="2" customFormat="1" ht="19.5" customHeight="1">
      <c r="A32" s="19">
        <v>7</v>
      </c>
      <c r="B32" s="20" t="s">
        <v>57</v>
      </c>
      <c r="C32" s="21">
        <v>257.12</v>
      </c>
      <c r="D32" s="22"/>
      <c r="E32" s="23"/>
      <c r="F32" s="22"/>
      <c r="G32" s="22">
        <f t="shared" si="3"/>
        <v>257.12</v>
      </c>
      <c r="H32" s="22"/>
      <c r="I32" s="41" t="s">
        <v>52</v>
      </c>
      <c r="J32" s="40">
        <v>4520.62</v>
      </c>
      <c r="K32" s="22">
        <f t="shared" si="4"/>
        <v>568.7715401869655</v>
      </c>
      <c r="L32" s="42" t="s">
        <v>58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</row>
    <row r="33" spans="1:236" s="2" customFormat="1" ht="19.5" customHeight="1">
      <c r="A33" s="19">
        <v>8</v>
      </c>
      <c r="B33" s="20" t="s">
        <v>59</v>
      </c>
      <c r="C33" s="21">
        <v>5.45</v>
      </c>
      <c r="D33" s="22"/>
      <c r="E33" s="23"/>
      <c r="F33" s="22"/>
      <c r="G33" s="22">
        <f t="shared" si="3"/>
        <v>5.45</v>
      </c>
      <c r="H33" s="22"/>
      <c r="I33" s="41" t="s">
        <v>52</v>
      </c>
      <c r="J33" s="40">
        <v>4520.62</v>
      </c>
      <c r="K33" s="22">
        <f t="shared" si="4"/>
        <v>12.055868442824215</v>
      </c>
      <c r="L33" s="42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</row>
    <row r="34" spans="1:236" s="2" customFormat="1" ht="19.5" customHeight="1">
      <c r="A34" s="19">
        <v>9</v>
      </c>
      <c r="B34" s="20" t="s">
        <v>60</v>
      </c>
      <c r="C34" s="21">
        <v>53.31</v>
      </c>
      <c r="D34" s="22"/>
      <c r="E34" s="23"/>
      <c r="F34" s="22"/>
      <c r="G34" s="22">
        <f t="shared" si="3"/>
        <v>53.31</v>
      </c>
      <c r="H34" s="22"/>
      <c r="I34" s="41" t="s">
        <v>52</v>
      </c>
      <c r="J34" s="40">
        <v>4520.62</v>
      </c>
      <c r="K34" s="22">
        <f t="shared" si="4"/>
        <v>117.92630214439613</v>
      </c>
      <c r="L34" s="42" t="s">
        <v>61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</row>
    <row r="35" spans="1:236" s="2" customFormat="1" ht="19.5" customHeight="1">
      <c r="A35" s="19" t="s">
        <v>62</v>
      </c>
      <c r="B35" s="18" t="s">
        <v>63</v>
      </c>
      <c r="C35" s="21"/>
      <c r="D35" s="21">
        <f>SUM(D36:D37)</f>
        <v>45</v>
      </c>
      <c r="E35" s="21">
        <f>SUM(E36:E37)</f>
        <v>0</v>
      </c>
      <c r="F35" s="21">
        <f>SUM(F36:F37)</f>
        <v>0</v>
      </c>
      <c r="G35" s="16">
        <f>C35+D35+E35+F35</f>
        <v>45</v>
      </c>
      <c r="H35" s="22"/>
      <c r="I35" s="37"/>
      <c r="J35" s="21"/>
      <c r="K35" s="22"/>
      <c r="L35" s="38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</row>
    <row r="36" spans="1:236" s="2" customFormat="1" ht="19.5" customHeight="1">
      <c r="A36" s="19">
        <v>1</v>
      </c>
      <c r="B36" s="20" t="s">
        <v>64</v>
      </c>
      <c r="C36" s="21"/>
      <c r="D36" s="22">
        <v>44</v>
      </c>
      <c r="E36" s="23"/>
      <c r="F36" s="22"/>
      <c r="G36" s="22">
        <f>SUM(C36:F36)</f>
        <v>44</v>
      </c>
      <c r="H36" s="22"/>
      <c r="I36" s="37" t="s">
        <v>65</v>
      </c>
      <c r="J36" s="21">
        <v>2</v>
      </c>
      <c r="K36" s="22">
        <f>D36/J36*10000</f>
        <v>220000</v>
      </c>
      <c r="L36" s="38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</row>
    <row r="37" spans="1:236" s="2" customFormat="1" ht="19.5" customHeight="1">
      <c r="A37" s="19">
        <v>2</v>
      </c>
      <c r="B37" s="20" t="s">
        <v>66</v>
      </c>
      <c r="C37" s="21"/>
      <c r="D37" s="22">
        <v>1</v>
      </c>
      <c r="E37" s="23"/>
      <c r="F37" s="22"/>
      <c r="G37" s="22">
        <f>SUM(C37:F37)</f>
        <v>1</v>
      </c>
      <c r="H37" s="22"/>
      <c r="I37" s="37" t="s">
        <v>67</v>
      </c>
      <c r="J37" s="21">
        <v>1</v>
      </c>
      <c r="K37" s="22">
        <f>G37/J37*10000</f>
        <v>10000</v>
      </c>
      <c r="L37" s="38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</row>
    <row r="38" spans="1:236" s="2" customFormat="1" ht="19.5" customHeight="1">
      <c r="A38" s="12" t="s">
        <v>68</v>
      </c>
      <c r="B38" s="15" t="s">
        <v>69</v>
      </c>
      <c r="C38" s="16"/>
      <c r="D38" s="17"/>
      <c r="E38" s="17"/>
      <c r="F38" s="17">
        <f>F39+F40+F41+F44+F45+F46+F47+F48+F49+F50+F51+F52+F53+F54</f>
        <v>317.51034610000005</v>
      </c>
      <c r="G38" s="17">
        <f>C38+D38+E38+F38</f>
        <v>317.51034610000005</v>
      </c>
      <c r="H38" s="17"/>
      <c r="I38" s="13"/>
      <c r="J38" s="16"/>
      <c r="K38" s="17"/>
      <c r="L38" s="36">
        <f>G38/G56</f>
        <v>0.07113604269923862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</row>
    <row r="39" spans="1:236" s="1" customFormat="1" ht="24" customHeight="1">
      <c r="A39" s="24">
        <v>1</v>
      </c>
      <c r="B39" s="20" t="s">
        <v>70</v>
      </c>
      <c r="C39" s="21"/>
      <c r="D39" s="22"/>
      <c r="E39" s="22"/>
      <c r="F39" s="22">
        <f>20+(G6-1000)*(80-20)/4000</f>
        <v>64.00055</v>
      </c>
      <c r="G39" s="22">
        <f>SUM(C39:F39)</f>
        <v>64.00055</v>
      </c>
      <c r="H39" s="22"/>
      <c r="I39" s="37"/>
      <c r="J39" s="21"/>
      <c r="K39" s="22"/>
      <c r="L39" s="3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</row>
    <row r="40" spans="1:236" s="1" customFormat="1" ht="24" customHeight="1">
      <c r="A40" s="24">
        <v>2</v>
      </c>
      <c r="B40" s="20" t="s">
        <v>71</v>
      </c>
      <c r="C40" s="21"/>
      <c r="D40" s="22"/>
      <c r="E40" s="22"/>
      <c r="F40" s="22">
        <f>(30.1+(G6-1000)*(78.1-30.1)/2000)*0.6</f>
        <v>60.30052799999999</v>
      </c>
      <c r="G40" s="22">
        <f>SUM(C40:F40)</f>
        <v>60.30052799999999</v>
      </c>
      <c r="H40" s="22"/>
      <c r="I40" s="37"/>
      <c r="J40" s="21"/>
      <c r="K40" s="22"/>
      <c r="L40" s="3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</row>
    <row r="41" spans="1:236" s="1" customFormat="1" ht="24" customHeight="1">
      <c r="A41" s="24">
        <v>3</v>
      </c>
      <c r="B41" s="20" t="s">
        <v>72</v>
      </c>
      <c r="C41" s="21"/>
      <c r="D41" s="22"/>
      <c r="E41" s="22"/>
      <c r="F41" s="22">
        <f>F42+F43</f>
        <v>99.36089099999998</v>
      </c>
      <c r="G41" s="22">
        <f>SUM(C41:F41)</f>
        <v>99.36089099999998</v>
      </c>
      <c r="H41" s="22"/>
      <c r="I41" s="37"/>
      <c r="J41" s="21"/>
      <c r="K41" s="22"/>
      <c r="L41" s="38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</row>
    <row r="42" spans="1:236" s="1" customFormat="1" ht="24" customHeight="1">
      <c r="A42" s="24">
        <v>3.1</v>
      </c>
      <c r="B42" s="20" t="s">
        <v>73</v>
      </c>
      <c r="C42" s="21"/>
      <c r="D42" s="22"/>
      <c r="E42" s="22"/>
      <c r="F42" s="22">
        <f>G6*0.8/100*0.6</f>
        <v>18.880176</v>
      </c>
      <c r="G42" s="22">
        <f>SUM(C42:F42)</f>
        <v>18.880176</v>
      </c>
      <c r="H42" s="22"/>
      <c r="I42" s="37"/>
      <c r="J42" s="21"/>
      <c r="K42" s="22"/>
      <c r="L42" s="3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</row>
    <row r="43" spans="1:236" s="1" customFormat="1" ht="22.5" customHeight="1">
      <c r="A43" s="24">
        <v>3.2</v>
      </c>
      <c r="B43" s="20" t="s">
        <v>74</v>
      </c>
      <c r="C43" s="21"/>
      <c r="D43" s="22"/>
      <c r="E43" s="22"/>
      <c r="F43" s="22">
        <f>(38.8+(G6-1000)*(103.8-38.8)/2000)*0.6</f>
        <v>80.48071499999999</v>
      </c>
      <c r="G43" s="22">
        <f>SUM(C43:F43)</f>
        <v>80.48071499999999</v>
      </c>
      <c r="H43" s="22"/>
      <c r="I43" s="37"/>
      <c r="J43" s="21"/>
      <c r="K43" s="22"/>
      <c r="L43" s="38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</row>
    <row r="44" spans="1:236" s="1" customFormat="1" ht="22.5" customHeight="1">
      <c r="A44" s="24">
        <v>4</v>
      </c>
      <c r="B44" s="20" t="s">
        <v>75</v>
      </c>
      <c r="C44" s="21"/>
      <c r="D44" s="22"/>
      <c r="E44" s="22"/>
      <c r="F44" s="22">
        <f>J7*1.8/10000</f>
        <v>1.5348924000000002</v>
      </c>
      <c r="G44" s="22">
        <f aca="true" t="shared" si="5" ref="G44:G54">SUM(C44:F44)</f>
        <v>1.5348924000000002</v>
      </c>
      <c r="H44" s="22"/>
      <c r="I44" s="37"/>
      <c r="J44" s="21"/>
      <c r="K44" s="22"/>
      <c r="L44" s="38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</row>
    <row r="45" spans="1:236" s="1" customFormat="1" ht="22.5" customHeight="1">
      <c r="A45" s="24">
        <v>5</v>
      </c>
      <c r="B45" s="20" t="s">
        <v>76</v>
      </c>
      <c r="C45" s="21"/>
      <c r="D45" s="22"/>
      <c r="E45" s="22"/>
      <c r="F45" s="22">
        <f>(100*0.01+400*0.007+500*0.0055+(G6-1000)*0.0035)*0.6</f>
        <v>10.090076999999999</v>
      </c>
      <c r="G45" s="22">
        <f t="shared" si="5"/>
        <v>10.090076999999999</v>
      </c>
      <c r="H45" s="22"/>
      <c r="I45" s="37"/>
      <c r="J45" s="21"/>
      <c r="K45" s="22"/>
      <c r="L45" s="38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</row>
    <row r="46" spans="1:236" s="1" customFormat="1" ht="22.5" customHeight="1">
      <c r="A46" s="24">
        <v>6</v>
      </c>
      <c r="B46" s="20" t="s">
        <v>77</v>
      </c>
      <c r="C46" s="25"/>
      <c r="D46" s="26"/>
      <c r="E46" s="26"/>
      <c r="F46" s="22">
        <f>(4.5+(G6-1000)*(10-4.5)/2000+2+(G6-1000)*(4-2)/2000)*0.6</f>
        <v>10.5000825</v>
      </c>
      <c r="G46" s="22">
        <f t="shared" si="5"/>
        <v>10.5000825</v>
      </c>
      <c r="H46" s="22"/>
      <c r="I46" s="37"/>
      <c r="J46" s="21"/>
      <c r="K46" s="22"/>
      <c r="L46" s="38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</row>
    <row r="47" spans="1:236" s="1" customFormat="1" ht="22.5" customHeight="1">
      <c r="A47" s="24">
        <v>7</v>
      </c>
      <c r="B47" s="20" t="s">
        <v>78</v>
      </c>
      <c r="C47" s="21"/>
      <c r="D47" s="22"/>
      <c r="E47" s="22"/>
      <c r="F47" s="22">
        <v>0</v>
      </c>
      <c r="G47" s="22">
        <f t="shared" si="5"/>
        <v>0</v>
      </c>
      <c r="H47" s="22"/>
      <c r="I47" s="37"/>
      <c r="J47" s="21"/>
      <c r="K47" s="22"/>
      <c r="L47" s="38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</row>
    <row r="48" spans="1:12" s="4" customFormat="1" ht="22.5" customHeight="1">
      <c r="A48" s="24">
        <v>8</v>
      </c>
      <c r="B48" s="20" t="s">
        <v>79</v>
      </c>
      <c r="C48" s="21"/>
      <c r="D48" s="22"/>
      <c r="E48" s="22"/>
      <c r="F48" s="22">
        <f>G6*0.5/100</f>
        <v>19.66685</v>
      </c>
      <c r="G48" s="22">
        <f t="shared" si="5"/>
        <v>19.66685</v>
      </c>
      <c r="H48" s="22"/>
      <c r="I48" s="37"/>
      <c r="J48" s="21"/>
      <c r="K48" s="22"/>
      <c r="L48" s="38"/>
    </row>
    <row r="49" spans="1:236" s="1" customFormat="1" ht="22.5" customHeight="1">
      <c r="A49" s="24">
        <v>9</v>
      </c>
      <c r="B49" s="20" t="s">
        <v>80</v>
      </c>
      <c r="C49" s="21"/>
      <c r="D49" s="22"/>
      <c r="E49" s="22"/>
      <c r="F49" s="22">
        <f>G6*0.3/100</f>
        <v>11.80011</v>
      </c>
      <c r="G49" s="22">
        <f t="shared" si="5"/>
        <v>11.80011</v>
      </c>
      <c r="H49" s="22"/>
      <c r="I49" s="37"/>
      <c r="J49" s="21"/>
      <c r="K49" s="22"/>
      <c r="L49" s="38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</row>
    <row r="50" spans="1:236" s="1" customFormat="1" ht="27.75" customHeight="1">
      <c r="A50" s="24">
        <v>10</v>
      </c>
      <c r="B50" s="20" t="s">
        <v>81</v>
      </c>
      <c r="C50" s="21"/>
      <c r="D50" s="22"/>
      <c r="E50" s="22"/>
      <c r="F50" s="22">
        <f>(100*4/1000+400*3.8/1000+500*3.6/1000+(G6-1000)*3.3/1000+100*3.2/1000+400*3/1000+500*2.8/1000+(G6-1000)*2.6/1000)*0.6</f>
        <v>14.368129799999997</v>
      </c>
      <c r="G50" s="22">
        <f t="shared" si="5"/>
        <v>14.368129799999997</v>
      </c>
      <c r="H50" s="22"/>
      <c r="I50" s="37"/>
      <c r="J50" s="21"/>
      <c r="K50" s="22"/>
      <c r="L50" s="3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</row>
    <row r="51" spans="1:236" s="1" customFormat="1" ht="27.75" customHeight="1">
      <c r="A51" s="24">
        <v>11</v>
      </c>
      <c r="B51" s="20" t="s">
        <v>82</v>
      </c>
      <c r="C51" s="21"/>
      <c r="D51" s="22"/>
      <c r="E51" s="22"/>
      <c r="F51" s="22">
        <f>(100*4/1000+400*3.8/1000+500*3.6/1000+(G6-1000)*3.3/1000+100*3.6/1000+400*3.4/1000+500*3.2/1000+(G6-1000)*3/1000)*0.6</f>
        <v>15.312138599999999</v>
      </c>
      <c r="G51" s="22">
        <f t="shared" si="5"/>
        <v>15.312138599999999</v>
      </c>
      <c r="H51" s="22"/>
      <c r="I51" s="37"/>
      <c r="J51" s="21"/>
      <c r="K51" s="22"/>
      <c r="L51" s="38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</row>
    <row r="52" spans="1:236" s="1" customFormat="1" ht="27.75" customHeight="1">
      <c r="A52" s="24">
        <v>12</v>
      </c>
      <c r="B52" s="20" t="s">
        <v>83</v>
      </c>
      <c r="C52" s="21"/>
      <c r="D52" s="22"/>
      <c r="E52" s="22"/>
      <c r="F52" s="22">
        <f>(100*5+400*4.8+500*4.6+(G6-1000)*4.4)/1000*0.6</f>
        <v>10.5760968</v>
      </c>
      <c r="G52" s="22">
        <f t="shared" si="5"/>
        <v>10.5760968</v>
      </c>
      <c r="H52" s="22"/>
      <c r="I52" s="37"/>
      <c r="J52" s="21"/>
      <c r="K52" s="22"/>
      <c r="L52" s="38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</row>
    <row r="53" spans="1:236" s="1" customFormat="1" ht="27.75" customHeight="1">
      <c r="A53" s="24">
        <v>13</v>
      </c>
      <c r="B53" s="20" t="s">
        <v>84</v>
      </c>
      <c r="C53" s="21"/>
      <c r="D53" s="22"/>
      <c r="E53" s="22"/>
      <c r="F53" s="22">
        <v>0</v>
      </c>
      <c r="G53" s="22">
        <f t="shared" si="5"/>
        <v>0</v>
      </c>
      <c r="H53" s="22"/>
      <c r="I53" s="37"/>
      <c r="J53" s="21"/>
      <c r="K53" s="22"/>
      <c r="L53" s="38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</row>
    <row r="54" spans="1:236" s="1" customFormat="1" ht="27.75" customHeight="1">
      <c r="A54" s="24">
        <v>14</v>
      </c>
      <c r="B54" s="20" t="s">
        <v>85</v>
      </c>
      <c r="C54" s="21"/>
      <c r="D54" s="22"/>
      <c r="E54" s="22"/>
      <c r="F54" s="22">
        <v>0</v>
      </c>
      <c r="G54" s="22">
        <f t="shared" si="5"/>
        <v>0</v>
      </c>
      <c r="H54" s="22"/>
      <c r="I54" s="37"/>
      <c r="J54" s="21"/>
      <c r="K54" s="22"/>
      <c r="L54" s="38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</row>
    <row r="55" spans="1:236" s="2" customFormat="1" ht="43.5" customHeight="1">
      <c r="A55" s="12" t="s">
        <v>86</v>
      </c>
      <c r="B55" s="15" t="s">
        <v>87</v>
      </c>
      <c r="C55" s="16"/>
      <c r="D55" s="17"/>
      <c r="E55" s="17"/>
      <c r="F55" s="17">
        <f>(G6+G38)*5/100</f>
        <v>212.54401730499998</v>
      </c>
      <c r="G55" s="17">
        <f>F55+E55+D55+C55</f>
        <v>212.54401730499998</v>
      </c>
      <c r="H55" s="17"/>
      <c r="I55" s="13"/>
      <c r="J55" s="16"/>
      <c r="K55" s="17"/>
      <c r="L55" s="36">
        <f>G55/G56</f>
        <v>0.047619047619047616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</row>
    <row r="56" spans="1:236" s="2" customFormat="1" ht="31.5" customHeight="1">
      <c r="A56" s="27" t="s">
        <v>88</v>
      </c>
      <c r="B56" s="28" t="s">
        <v>89</v>
      </c>
      <c r="C56" s="16">
        <f>C6+C38+C55</f>
        <v>3888.37</v>
      </c>
      <c r="D56" s="16">
        <f>D6+D38+D55</f>
        <v>45</v>
      </c>
      <c r="E56" s="16">
        <f>E6+E38+E55</f>
        <v>0</v>
      </c>
      <c r="F56" s="16">
        <f>F6+F38+F55</f>
        <v>530.054363405</v>
      </c>
      <c r="G56" s="16">
        <f>C56+D56+E56+F56</f>
        <v>4463.424363405</v>
      </c>
      <c r="H56" s="17"/>
      <c r="I56" s="13"/>
      <c r="J56" s="16"/>
      <c r="K56" s="17"/>
      <c r="L56" s="36">
        <f>L55+L38+L6</f>
        <v>1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</row>
    <row r="57" spans="1:236" s="1" customFormat="1" ht="17.2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</row>
    <row r="58" spans="1:236" s="1" customFormat="1" ht="17.25" customHeight="1">
      <c r="A58" s="5"/>
      <c r="B58" s="6"/>
      <c r="C58" s="7"/>
      <c r="D58" s="29"/>
      <c r="E58" s="9"/>
      <c r="F58" s="8"/>
      <c r="G58" s="7"/>
      <c r="H58" s="30"/>
      <c r="I58" s="43"/>
      <c r="J58" s="7"/>
      <c r="K58" s="8"/>
      <c r="L58" s="1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</row>
    <row r="59" spans="1:236" s="1" customFormat="1" ht="17.25" customHeight="1">
      <c r="A59" s="5"/>
      <c r="B59" s="6"/>
      <c r="C59" s="7"/>
      <c r="D59" s="7"/>
      <c r="E59" s="31"/>
      <c r="F59" s="32"/>
      <c r="G59" s="52"/>
      <c r="H59" s="52"/>
      <c r="I59" s="52"/>
      <c r="J59" s="52"/>
      <c r="K59" s="52"/>
      <c r="L59" s="5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</row>
    <row r="60" spans="1:236" s="1" customFormat="1" ht="17.25" customHeight="1">
      <c r="A60" s="5"/>
      <c r="B60" s="6"/>
      <c r="C60" s="7"/>
      <c r="D60" s="7"/>
      <c r="E60" s="33"/>
      <c r="F60" s="7"/>
      <c r="G60" s="30"/>
      <c r="H60" s="8"/>
      <c r="I60" s="10"/>
      <c r="J60" s="7"/>
      <c r="K60" s="8"/>
      <c r="L60" s="1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</row>
    <row r="61" spans="1:236" s="1" customFormat="1" ht="17.25" customHeight="1">
      <c r="A61" s="5"/>
      <c r="B61" s="6"/>
      <c r="C61" s="7"/>
      <c r="D61" s="7"/>
      <c r="E61" s="31"/>
      <c r="F61" s="32"/>
      <c r="G61" s="34"/>
      <c r="H61" s="8"/>
      <c r="I61" s="10"/>
      <c r="J61" s="7"/>
      <c r="K61" s="8"/>
      <c r="L61" s="1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</row>
    <row r="62" spans="1:236" s="1" customFormat="1" ht="17.25" customHeight="1">
      <c r="A62" s="5"/>
      <c r="B62" s="6"/>
      <c r="C62" s="7"/>
      <c r="D62" s="7"/>
      <c r="E62" s="33"/>
      <c r="F62" s="7"/>
      <c r="G62" s="34"/>
      <c r="H62" s="8"/>
      <c r="I62" s="10"/>
      <c r="J62" s="7"/>
      <c r="K62" s="8"/>
      <c r="L62" s="1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</row>
    <row r="63" spans="1:236" s="1" customFormat="1" ht="17.25" customHeight="1">
      <c r="A63" s="5"/>
      <c r="B63" s="6"/>
      <c r="C63" s="7"/>
      <c r="D63" s="7"/>
      <c r="E63" s="33"/>
      <c r="F63" s="7"/>
      <c r="G63" s="34"/>
      <c r="H63" s="8"/>
      <c r="I63" s="10"/>
      <c r="J63" s="7"/>
      <c r="K63" s="8"/>
      <c r="L63" s="1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</row>
    <row r="64" spans="1:236" s="1" customFormat="1" ht="17.25" customHeight="1">
      <c r="A64" s="5"/>
      <c r="B64" s="6"/>
      <c r="C64" s="7"/>
      <c r="D64" s="8"/>
      <c r="E64" s="9"/>
      <c r="F64" s="7"/>
      <c r="G64" s="34"/>
      <c r="H64" s="8"/>
      <c r="I64" s="10"/>
      <c r="J64" s="7"/>
      <c r="K64" s="8"/>
      <c r="L64" s="1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</row>
    <row r="65" spans="1:236" s="1" customFormat="1" ht="17.25" customHeight="1">
      <c r="A65" s="5"/>
      <c r="B65" s="6"/>
      <c r="C65" s="7"/>
      <c r="D65" s="8"/>
      <c r="E65" s="9"/>
      <c r="F65" s="30"/>
      <c r="G65" s="34"/>
      <c r="H65" s="8"/>
      <c r="I65" s="10"/>
      <c r="J65" s="7"/>
      <c r="K65" s="8"/>
      <c r="L65" s="1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</row>
    <row r="66" spans="1:236" s="1" customFormat="1" ht="17.25" customHeight="1">
      <c r="A66" s="5"/>
      <c r="B66" s="6"/>
      <c r="C66" s="7"/>
      <c r="D66" s="8"/>
      <c r="E66" s="9"/>
      <c r="F66" s="8"/>
      <c r="G66" s="34"/>
      <c r="H66" s="8"/>
      <c r="I66" s="10"/>
      <c r="J66" s="7"/>
      <c r="K66" s="8"/>
      <c r="L66" s="1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</row>
    <row r="67" spans="1:236" s="1" customFormat="1" ht="17.25" customHeight="1">
      <c r="A67" s="5"/>
      <c r="B67" s="6"/>
      <c r="C67" s="7"/>
      <c r="D67" s="8"/>
      <c r="E67" s="9"/>
      <c r="F67" s="8"/>
      <c r="G67" s="34"/>
      <c r="H67" s="8"/>
      <c r="I67" s="10"/>
      <c r="J67" s="7"/>
      <c r="K67" s="8"/>
      <c r="L67" s="1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</row>
    <row r="68" spans="1:236" s="1" customFormat="1" ht="17.25" customHeight="1">
      <c r="A68" s="5"/>
      <c r="B68" s="6"/>
      <c r="C68" s="7"/>
      <c r="D68" s="8"/>
      <c r="E68" s="9"/>
      <c r="F68" s="8"/>
      <c r="G68" s="34"/>
      <c r="H68" s="8"/>
      <c r="I68" s="10"/>
      <c r="J68" s="7"/>
      <c r="K68" s="8"/>
      <c r="L68" s="1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</row>
    <row r="69" spans="1:236" s="1" customFormat="1" ht="17.25" customHeight="1">
      <c r="A69" s="5"/>
      <c r="B69" s="6"/>
      <c r="C69" s="7"/>
      <c r="D69" s="8"/>
      <c r="E69" s="9"/>
      <c r="F69" s="8"/>
      <c r="G69" s="34"/>
      <c r="H69" s="8"/>
      <c r="I69" s="10"/>
      <c r="J69" s="7"/>
      <c r="K69" s="8"/>
      <c r="L69" s="1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</row>
    <row r="70" spans="1:236" s="1" customFormat="1" ht="17.25" customHeight="1">
      <c r="A70" s="5"/>
      <c r="B70" s="6"/>
      <c r="C70" s="7"/>
      <c r="D70" s="8"/>
      <c r="E70" s="9"/>
      <c r="F70" s="8"/>
      <c r="G70" s="34"/>
      <c r="H70" s="8"/>
      <c r="I70" s="10"/>
      <c r="J70" s="7"/>
      <c r="K70" s="8"/>
      <c r="L70" s="1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</row>
    <row r="71" spans="1:236" s="1" customFormat="1" ht="17.25" customHeight="1">
      <c r="A71" s="5"/>
      <c r="B71" s="6"/>
      <c r="C71" s="7"/>
      <c r="D71" s="8"/>
      <c r="E71" s="9"/>
      <c r="F71" s="8"/>
      <c r="G71" s="34"/>
      <c r="H71" s="8"/>
      <c r="I71" s="10"/>
      <c r="J71" s="7"/>
      <c r="K71" s="8"/>
      <c r="L71" s="11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</row>
    <row r="72" spans="1:236" s="1" customFormat="1" ht="12">
      <c r="A72" s="5"/>
      <c r="B72" s="6"/>
      <c r="C72" s="7"/>
      <c r="D72" s="8"/>
      <c r="E72" s="9"/>
      <c r="F72" s="8"/>
      <c r="G72" s="34"/>
      <c r="H72" s="8"/>
      <c r="I72" s="10"/>
      <c r="J72" s="7"/>
      <c r="K72" s="8"/>
      <c r="L72" s="11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</row>
    <row r="73" spans="1:236" s="1" customFormat="1" ht="12">
      <c r="A73" s="5"/>
      <c r="B73" s="6"/>
      <c r="C73" s="7"/>
      <c r="D73" s="8"/>
      <c r="E73" s="9"/>
      <c r="F73" s="8"/>
      <c r="G73" s="34"/>
      <c r="H73" s="8"/>
      <c r="I73" s="10"/>
      <c r="J73" s="7"/>
      <c r="K73" s="8"/>
      <c r="L73" s="1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</row>
    <row r="74" spans="1:236" s="1" customFormat="1" ht="12">
      <c r="A74" s="5"/>
      <c r="B74" s="6"/>
      <c r="C74" s="7"/>
      <c r="D74" s="8"/>
      <c r="E74" s="9"/>
      <c r="F74" s="8"/>
      <c r="G74" s="34"/>
      <c r="H74" s="8"/>
      <c r="I74" s="10"/>
      <c r="J74" s="7"/>
      <c r="K74" s="8"/>
      <c r="L74" s="1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</row>
    <row r="75" spans="1:236" s="1" customFormat="1" ht="12">
      <c r="A75" s="5"/>
      <c r="B75" s="6"/>
      <c r="C75" s="7"/>
      <c r="D75" s="8"/>
      <c r="E75" s="9"/>
      <c r="F75" s="8"/>
      <c r="G75" s="34"/>
      <c r="H75" s="8"/>
      <c r="I75" s="10"/>
      <c r="J75" s="7"/>
      <c r="K75" s="8"/>
      <c r="L75" s="1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</row>
    <row r="76" spans="1:236" s="1" customFormat="1" ht="12">
      <c r="A76" s="5"/>
      <c r="B76" s="6"/>
      <c r="C76" s="7"/>
      <c r="D76" s="8"/>
      <c r="E76" s="9"/>
      <c r="F76" s="8"/>
      <c r="G76" s="34"/>
      <c r="H76" s="8"/>
      <c r="I76" s="10"/>
      <c r="J76" s="7"/>
      <c r="K76" s="8"/>
      <c r="L76" s="1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</row>
    <row r="77" spans="1:236" s="1" customFormat="1" ht="12">
      <c r="A77" s="5"/>
      <c r="B77" s="6"/>
      <c r="C77" s="7"/>
      <c r="D77" s="8"/>
      <c r="E77" s="9"/>
      <c r="F77" s="8"/>
      <c r="G77" s="8"/>
      <c r="H77" s="8"/>
      <c r="I77" s="10"/>
      <c r="J77" s="7"/>
      <c r="K77" s="8"/>
      <c r="L77" s="1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</row>
    <row r="78" spans="1:236" s="1" customFormat="1" ht="12">
      <c r="A78" s="5"/>
      <c r="B78" s="6"/>
      <c r="C78" s="7"/>
      <c r="D78" s="8"/>
      <c r="E78" s="9"/>
      <c r="F78" s="8"/>
      <c r="G78" s="8"/>
      <c r="H78" s="8"/>
      <c r="I78" s="10"/>
      <c r="J78" s="7"/>
      <c r="K78" s="8"/>
      <c r="L78" s="1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</row>
    <row r="79" spans="1:236" s="1" customFormat="1" ht="12">
      <c r="A79" s="5"/>
      <c r="B79" s="6"/>
      <c r="C79" s="7"/>
      <c r="D79" s="8"/>
      <c r="E79" s="9"/>
      <c r="F79" s="8"/>
      <c r="G79" s="8"/>
      <c r="H79" s="8"/>
      <c r="I79" s="10"/>
      <c r="J79" s="7"/>
      <c r="K79" s="8"/>
      <c r="L79" s="1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</row>
    <row r="80" spans="1:236" s="1" customFormat="1" ht="12">
      <c r="A80" s="5"/>
      <c r="B80" s="6"/>
      <c r="C80" s="7"/>
      <c r="D80" s="8"/>
      <c r="E80" s="9"/>
      <c r="F80" s="8"/>
      <c r="G80" s="8"/>
      <c r="H80" s="8"/>
      <c r="I80" s="10"/>
      <c r="J80" s="7"/>
      <c r="K80" s="8"/>
      <c r="L80" s="1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</row>
    <row r="81" spans="1:236" s="1" customFormat="1" ht="12">
      <c r="A81" s="5"/>
      <c r="B81" s="6"/>
      <c r="C81" s="7"/>
      <c r="D81" s="8"/>
      <c r="E81" s="9"/>
      <c r="F81" s="8"/>
      <c r="G81" s="8"/>
      <c r="H81" s="8"/>
      <c r="I81" s="10"/>
      <c r="J81" s="7"/>
      <c r="K81" s="8"/>
      <c r="L81" s="1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</row>
    <row r="82" spans="1:236" s="1" customFormat="1" ht="12">
      <c r="A82" s="5"/>
      <c r="B82" s="6"/>
      <c r="C82" s="7"/>
      <c r="D82" s="8"/>
      <c r="E82" s="9"/>
      <c r="F82" s="8"/>
      <c r="G82" s="8"/>
      <c r="H82" s="8"/>
      <c r="I82" s="10"/>
      <c r="J82" s="7"/>
      <c r="K82" s="8"/>
      <c r="L82" s="1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</row>
    <row r="83" spans="1:236" s="1" customFormat="1" ht="12">
      <c r="A83" s="5"/>
      <c r="B83" s="6"/>
      <c r="C83" s="7"/>
      <c r="D83" s="8"/>
      <c r="E83" s="9"/>
      <c r="F83" s="8"/>
      <c r="G83" s="8"/>
      <c r="H83" s="8"/>
      <c r="I83" s="10"/>
      <c r="J83" s="7"/>
      <c r="K83" s="8"/>
      <c r="L83" s="1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</row>
  </sheetData>
  <sheetProtection/>
  <mergeCells count="10">
    <mergeCell ref="G59:L59"/>
    <mergeCell ref="A4:A5"/>
    <mergeCell ref="B4:B5"/>
    <mergeCell ref="L4:L5"/>
    <mergeCell ref="A1:L1"/>
    <mergeCell ref="A2:L2"/>
    <mergeCell ref="A3:L3"/>
    <mergeCell ref="C4:G4"/>
    <mergeCell ref="H4:K4"/>
    <mergeCell ref="A57:L57"/>
  </mergeCells>
  <printOptions horizontalCentered="1"/>
  <pageMargins left="0.35" right="0.35" top="0.59" bottom="0.79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2021-01-12T00:40:31Z</cp:lastPrinted>
  <dcterms:created xsi:type="dcterms:W3CDTF">1996-12-17T01:32:42Z</dcterms:created>
  <dcterms:modified xsi:type="dcterms:W3CDTF">2021-02-03T02:49:51Z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